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(My Files-2)\9999设计资料\"/>
    </mc:Choice>
  </mc:AlternateContent>
  <xr:revisionPtr revIDLastSave="0" documentId="13_ncr:1_{56C64397-E0FE-4495-BAFC-3EED167C5F03}" xr6:coauthVersionLast="47" xr6:coauthVersionMax="47" xr10:uidLastSave="{00000000-0000-0000-0000-000000000000}"/>
  <bookViews>
    <workbookView xWindow="-110" yWindow="-110" windowWidth="30220" windowHeight="19500" xr2:uid="{751F4980-1BE5-486A-A509-BA79333865D2}"/>
  </bookViews>
  <sheets>
    <sheet name="运行费用计算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G24" i="1"/>
  <c r="J24" i="1"/>
  <c r="L24" i="1" s="1"/>
  <c r="J10" i="1"/>
  <c r="L10" i="1" s="1"/>
  <c r="E25" i="1"/>
  <c r="G25" i="1" s="1"/>
  <c r="E21" i="1"/>
  <c r="J21" i="1" s="1"/>
  <c r="L21" i="1" s="1"/>
  <c r="E20" i="1"/>
  <c r="J20" i="1" s="1"/>
  <c r="L20" i="1" s="1"/>
  <c r="E16" i="1"/>
  <c r="G16" i="1" s="1"/>
  <c r="E15" i="1"/>
  <c r="G15" i="1" s="1"/>
  <c r="E11" i="1"/>
  <c r="J11" i="1" s="1"/>
  <c r="L11" i="1" s="1"/>
  <c r="E12" i="1"/>
  <c r="J12" i="1" s="1"/>
  <c r="L12" i="1" s="1"/>
  <c r="G13" i="1"/>
  <c r="C18" i="1"/>
  <c r="E19" i="1"/>
  <c r="G19" i="1" s="1"/>
  <c r="G23" i="1"/>
  <c r="G17" i="1"/>
  <c r="J22" i="1"/>
  <c r="L22" i="1" s="1"/>
  <c r="J23" i="1"/>
  <c r="L23" i="1" s="1"/>
  <c r="J17" i="1"/>
  <c r="L17" i="1" s="1"/>
  <c r="J13" i="1"/>
  <c r="L13" i="1" s="1"/>
  <c r="J26" i="1"/>
  <c r="L26" i="1" s="1"/>
  <c r="J27" i="1"/>
  <c r="L27" i="1" s="1"/>
  <c r="G44" i="1"/>
  <c r="G45" i="1" s="1"/>
  <c r="E41" i="1"/>
  <c r="G41" i="1" s="1"/>
  <c r="G42" i="1" s="1"/>
  <c r="G38" i="1"/>
  <c r="G37" i="1"/>
  <c r="G34" i="1"/>
  <c r="G33" i="1"/>
  <c r="E30" i="1"/>
  <c r="E29" i="1"/>
  <c r="G29" i="1" s="1"/>
  <c r="E28" i="1"/>
  <c r="G28" i="1" s="1"/>
  <c r="G26" i="1"/>
  <c r="G27" i="1"/>
  <c r="E14" i="1"/>
  <c r="G14" i="1" s="1"/>
  <c r="G10" i="1"/>
  <c r="G22" i="1"/>
  <c r="G7" i="1"/>
  <c r="G6" i="1"/>
  <c r="G20" i="1" l="1"/>
  <c r="J25" i="1"/>
  <c r="L25" i="1" s="1"/>
  <c r="G21" i="1"/>
  <c r="E18" i="1"/>
  <c r="J18" i="1" s="1"/>
  <c r="L18" i="1" s="1"/>
  <c r="J16" i="1"/>
  <c r="L16" i="1" s="1"/>
  <c r="J15" i="1"/>
  <c r="L15" i="1" s="1"/>
  <c r="G11" i="1"/>
  <c r="G12" i="1"/>
  <c r="J19" i="1"/>
  <c r="L19" i="1" s="1"/>
  <c r="C30" i="1"/>
  <c r="G30" i="1"/>
  <c r="J29" i="1"/>
  <c r="L29" i="1" s="1"/>
  <c r="J14" i="1"/>
  <c r="L14" i="1" s="1"/>
  <c r="J30" i="1"/>
  <c r="L30" i="1" s="1"/>
  <c r="J28" i="1"/>
  <c r="L28" i="1" s="1"/>
  <c r="G39" i="1"/>
  <c r="G35" i="1"/>
  <c r="G8" i="1"/>
  <c r="G18" i="1" l="1"/>
  <c r="G31" i="1" s="1"/>
  <c r="G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吴洪</author>
  </authors>
  <commentList>
    <comment ref="C3" authorId="0" shapeId="0" xr:uid="{0C06DC6D-B935-4BDA-98A6-086ECAEEE341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或按产水量计算</t>
        </r>
      </text>
    </comment>
    <comment ref="H6" authorId="0" shapeId="0" xr:uid="{D44C1286-03D7-482E-9877-9A73D47E9DD7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为运行系数</t>
        </r>
      </text>
    </comment>
    <comment ref="H10" authorId="0" shapeId="0" xr:uid="{A99E31F3-C9FF-4CB3-8F16-1338EDD4C5DB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换算成100%纯的投加量</t>
        </r>
      </text>
    </comment>
    <comment ref="B11" authorId="0" shapeId="0" xr:uid="{A4F116D2-CC35-4AF5-80D4-78A932AF6657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配药浓度是指固体稀释到百分比，并不是指有限成分的百分比。</t>
        </r>
      </text>
    </comment>
    <comment ref="C11" authorId="0" shapeId="0" xr:uid="{3C34059B-C4A8-4351-BFEC-7C8151BC9FA3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配药浓度后的价格，余同</t>
        </r>
      </text>
    </comment>
    <comment ref="E11" authorId="0" shapeId="0" xr:uid="{85F5B8D5-29AC-4B71-B182-C393B920AEBC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配药浓度后的投加量，余同</t>
        </r>
      </text>
    </comment>
    <comment ref="H11" authorId="0" shapeId="0" xr:uid="{D2123DAE-8ECC-434C-AF13-1E0DB2A61932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换算成100%纯的投加量</t>
        </r>
      </text>
    </comment>
    <comment ref="E14" authorId="0" shapeId="0" xr:uid="{9E1E30B9-B5DD-4A7C-BF52-95CD2CED6349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每吨水按产生10‰的污泥计算，PAM浓度是污水的3倍。换算到进水或回用水量</t>
        </r>
      </text>
    </comment>
    <comment ref="E15" authorId="0" shapeId="0" xr:uid="{2DBA47DE-7B99-4B60-87F0-039693E5A542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1.医院消毒，有效氯投加浓度：30-50PPM；
2.膜及活性焦：3-8PPM
</t>
        </r>
      </text>
    </comment>
    <comment ref="H15" authorId="0" shapeId="0" xr:uid="{B2109F8D-67C1-4DDA-9E0B-735C74014CCB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换算成100%纯的投加量</t>
        </r>
      </text>
    </comment>
    <comment ref="H16" authorId="0" shapeId="0" xr:uid="{131F7978-5319-4AAD-861C-DE21D5B22A41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换算成100%纯的投加量</t>
        </r>
      </text>
    </comment>
    <comment ref="H17" authorId="0" shapeId="0" xr:uid="{D10549DD-6A22-42D4-8519-BEA26F169D6C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不含中和弱碱的量</t>
        </r>
      </text>
    </comment>
    <comment ref="H18" authorId="0" shapeId="0" xr:uid="{1EDAE348-BF9D-4829-A5ED-9EC6C9E1D160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不含中和弱酸的量</t>
        </r>
      </text>
    </comment>
    <comment ref="H19" authorId="0" shapeId="0" xr:uid="{FEBAEDB1-5DEA-460A-BC29-214EDF86EB9E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不含中和弱酸的量</t>
        </r>
      </text>
    </comment>
    <comment ref="E20" authorId="0" shapeId="0" xr:uid="{CD425430-B734-46A7-A771-7BAF137A3E86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以去除100mg/lCOD为例，每去除100mg/l的COD：
纯硫酸亚铁投加量为210mg/l。</t>
        </r>
      </text>
    </comment>
    <comment ref="E21" authorId="0" shapeId="0" xr:uid="{A0A8A378-8A9F-4154-9470-4B7B16283FD8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以去除100mg/lCOD为例，每去除100mg/l的COD：
纯双氧水投加量为390mg/l</t>
        </r>
      </text>
    </comment>
    <comment ref="E22" authorId="0" shapeId="0" xr:uid="{1386300B-4B69-4F3D-9981-32733304BA79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1.估算可以按C：N＞4计算；
2.80万COD碳源，投加量100mg/l可以提供80mg/l的COD，可以去除20mg/的总氮，依次类推估算；</t>
        </r>
      </text>
    </comment>
    <comment ref="E23" authorId="0" shapeId="0" xr:uid="{82D5E208-8D19-4478-AF97-4071AE7869B6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渗滤液投加量5-8PPM</t>
        </r>
      </text>
    </comment>
    <comment ref="E24" authorId="0" shapeId="0" xr:uid="{80DBCCE9-6C0A-445C-BDE7-1C0CA4C40380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按C：N：P=100:5:1估算；</t>
        </r>
      </text>
    </comment>
    <comment ref="E25" authorId="0" shapeId="0" xr:uid="{EB3CC8F7-8CF6-460A-B0EC-4CCE1D0303D5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按C：N：P=100:5:1估算；</t>
        </r>
      </text>
    </comment>
    <comment ref="E26" authorId="0" shapeId="0" xr:uid="{E8CB1079-B1CB-4BE5-8A54-BBF668C2EED4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有效成分投加：
RO按：3-8PPM；
超滤按：1.5-3.5PPM</t>
        </r>
      </text>
    </comment>
    <comment ref="E27" authorId="0" shapeId="0" xr:uid="{6A09EE30-82E5-4D18-9350-ECED6316CB07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有效成分投加：
RO按：1-6PPM</t>
        </r>
      </text>
    </comment>
    <comment ref="E28" authorId="0" shapeId="0" xr:uid="{DD9E9D47-ACB6-4126-B11E-D73CA395DDFE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投加浓度按与氧化剂浓度相同估算；</t>
        </r>
      </text>
    </comment>
    <comment ref="E29" authorId="0" shapeId="0" xr:uid="{3984CE93-516F-44A3-9983-B13D674EFA9A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按7天清洗一次计算，每次配药清洗桶容积按进水水量的0.5‰计算，配药桶浓度按5%配药/每次</t>
        </r>
      </text>
    </comment>
    <comment ref="E30" authorId="0" shapeId="0" xr:uid="{DBA92C3A-C2B9-4F3D-A64C-D56AFC25DAF1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按7天清洗一次计算，每次配药清洗桶容积按进水水量的0.5‰计算，配药桶有效碱浓度0.1%配药/每次</t>
        </r>
      </text>
    </comment>
    <comment ref="E41" authorId="0" shapeId="0" xr:uid="{874AD41A-7BE8-4BCE-8881-3FB10F1B1387}">
      <text>
        <r>
          <rPr>
            <b/>
            <sz val="9"/>
            <color indexed="81"/>
            <rFont val="宋体"/>
            <family val="3"/>
            <charset val="134"/>
          </rPr>
          <t>吴洪:</t>
        </r>
        <r>
          <rPr>
            <sz val="9"/>
            <color indexed="81"/>
            <rFont val="宋体"/>
            <family val="3"/>
            <charset val="134"/>
          </rPr>
          <t xml:space="preserve">
1.污水厂污泥总产生量可按进水量的7‰估算；
2.芬顿污泥产生量可按去除100mg/l的COD产生1.15吨绝干污泥计算；</t>
        </r>
      </text>
    </comment>
  </commentList>
</comments>
</file>

<file path=xl/sharedStrings.xml><?xml version="1.0" encoding="utf-8"?>
<sst xmlns="http://schemas.openxmlformats.org/spreadsheetml/2006/main" count="145" uniqueCount="90">
  <si>
    <t>序号</t>
  </si>
  <si>
    <t>单价</t>
  </si>
  <si>
    <t>小计</t>
  </si>
  <si>
    <t>小计</t>
    <phoneticPr fontId="3" type="noConversion"/>
  </si>
  <si>
    <t>设备维修维护费</t>
    <phoneticPr fontId="3" type="noConversion"/>
  </si>
  <si>
    <t>五、污泥处置费</t>
    <phoneticPr fontId="3" type="noConversion"/>
  </si>
  <si>
    <t>污泥处置费</t>
    <phoneticPr fontId="3" type="noConversion"/>
  </si>
  <si>
    <t>设备投资折旧使用费</t>
    <phoneticPr fontId="3" type="noConversion"/>
  </si>
  <si>
    <t>六、设备投资折旧使用费</t>
    <phoneticPr fontId="3" type="noConversion"/>
  </si>
  <si>
    <t>单位</t>
    <phoneticPr fontId="3" type="noConversion"/>
  </si>
  <si>
    <t>使用量</t>
    <phoneticPr fontId="3" type="noConversion"/>
  </si>
  <si>
    <t>备注</t>
    <phoneticPr fontId="3" type="noConversion"/>
  </si>
  <si>
    <t>元/度</t>
    <phoneticPr fontId="3" type="noConversion"/>
  </si>
  <si>
    <t>kw·h/d</t>
    <phoneticPr fontId="3" type="noConversion"/>
  </si>
  <si>
    <t>水费</t>
    <phoneticPr fontId="3" type="noConversion"/>
  </si>
  <si>
    <t>电费</t>
    <phoneticPr fontId="3" type="noConversion"/>
  </si>
  <si>
    <t>元/吨</t>
    <phoneticPr fontId="3" type="noConversion"/>
  </si>
  <si>
    <t>98%硫酸(配药浓度10%)</t>
    <phoneticPr fontId="3" type="noConversion"/>
  </si>
  <si>
    <t>30%液碱(配药浓度10%)</t>
    <phoneticPr fontId="3" type="noConversion"/>
  </si>
  <si>
    <t>T/d</t>
    <phoneticPr fontId="3" type="noConversion"/>
  </si>
  <si>
    <r>
      <t>m</t>
    </r>
    <r>
      <rPr>
        <vertAlign val="superscript"/>
        <sz val="10.5"/>
        <color theme="1"/>
        <rFont val="宋体"/>
        <family val="3"/>
        <charset val="134"/>
      </rPr>
      <t>3</t>
    </r>
    <r>
      <rPr>
        <sz val="10.5"/>
        <color theme="1"/>
        <rFont val="宋体"/>
        <family val="3"/>
        <charset val="134"/>
      </rPr>
      <t>/d</t>
    </r>
    <phoneticPr fontId="3" type="noConversion"/>
  </si>
  <si>
    <t>处理水量:</t>
    <phoneticPr fontId="3" type="noConversion"/>
  </si>
  <si>
    <t>运行费用
（元/吨）</t>
    <phoneticPr fontId="3" type="noConversion"/>
  </si>
  <si>
    <t>一、水电费</t>
    <phoneticPr fontId="3" type="noConversion"/>
  </si>
  <si>
    <t>费用项目</t>
    <phoneticPr fontId="3" type="noConversion"/>
  </si>
  <si>
    <t>mg/l</t>
    <phoneticPr fontId="3" type="noConversion"/>
  </si>
  <si>
    <t>99%片碱（配药浓度10%）</t>
    <phoneticPr fontId="3" type="noConversion"/>
  </si>
  <si>
    <t>2.10</t>
    <phoneticPr fontId="3" type="noConversion"/>
  </si>
  <si>
    <t>2.12</t>
  </si>
  <si>
    <t>2.13</t>
  </si>
  <si>
    <t>2.11</t>
    <phoneticPr fontId="3" type="noConversion"/>
  </si>
  <si>
    <t>2.14</t>
  </si>
  <si>
    <t>2.15</t>
  </si>
  <si>
    <t>2.16</t>
  </si>
  <si>
    <t>46%尿素(配药浓度10%)</t>
    <phoneticPr fontId="3" type="noConversion"/>
  </si>
  <si>
    <t>99%磷酸二氢钾(配药浓度10%)</t>
    <phoneticPr fontId="3" type="noConversion"/>
  </si>
  <si>
    <t>99%阻垢剂(配药浓度10%)</t>
    <phoneticPr fontId="3" type="noConversion"/>
  </si>
  <si>
    <t>90%膜氧化杀菌剂(配药浓度10%)</t>
    <phoneticPr fontId="3" type="noConversion"/>
  </si>
  <si>
    <t>10%液体膜还原剂</t>
    <phoneticPr fontId="3" type="noConversion"/>
  </si>
  <si>
    <t>98%膜清洗柠檬酸</t>
    <phoneticPr fontId="3" type="noConversion"/>
  </si>
  <si>
    <t>2.17</t>
  </si>
  <si>
    <t>二、药剂费（投加浓度为0的为不需要投加的药剂）</t>
    <phoneticPr fontId="3" type="noConversion"/>
  </si>
  <si>
    <t>三、人工费</t>
    <phoneticPr fontId="3" type="noConversion"/>
  </si>
  <si>
    <t>管理人工费</t>
    <phoneticPr fontId="3" type="noConversion"/>
  </si>
  <si>
    <t>元/月</t>
    <phoneticPr fontId="3" type="noConversion"/>
  </si>
  <si>
    <t>操作人工费</t>
    <phoneticPr fontId="3" type="noConversion"/>
  </si>
  <si>
    <t>人</t>
    <phoneticPr fontId="3" type="noConversion"/>
  </si>
  <si>
    <t>四、维修维护费</t>
    <phoneticPr fontId="3" type="noConversion"/>
  </si>
  <si>
    <t>万/年</t>
    <phoneticPr fontId="3" type="noConversion"/>
  </si>
  <si>
    <t>项</t>
    <phoneticPr fontId="3" type="noConversion"/>
  </si>
  <si>
    <t>膜等损耗耗材费用</t>
    <phoneticPr fontId="3" type="noConversion"/>
  </si>
  <si>
    <t>吨/天</t>
    <phoneticPr fontId="3" type="noConversion"/>
  </si>
  <si>
    <t>万</t>
    <phoneticPr fontId="3" type="noConversion"/>
  </si>
  <si>
    <t>年/折旧</t>
    <phoneticPr fontId="3" type="noConversion"/>
  </si>
  <si>
    <t>含贷款利息/重复投资等</t>
    <phoneticPr fontId="3" type="noConversion"/>
  </si>
  <si>
    <t>总运行费用合计</t>
    <phoneticPr fontId="3" type="noConversion"/>
  </si>
  <si>
    <t>一+二+三+四+五+六</t>
    <phoneticPr fontId="3" type="noConversion"/>
  </si>
  <si>
    <t>加药量（L/H）</t>
    <phoneticPr fontId="3" type="noConversion"/>
  </si>
  <si>
    <t>配药周期(天)</t>
    <phoneticPr fontId="3" type="noConversion"/>
  </si>
  <si>
    <t>药剂罐容积(L)</t>
    <phoneticPr fontId="3" type="noConversion"/>
  </si>
  <si>
    <t>90%PAM+,固含量≥90%(配药浓度1‰)</t>
    <phoneticPr fontId="3" type="noConversion"/>
  </si>
  <si>
    <t>90%PAM-,固含量≥90%(配药浓度1‰)</t>
    <phoneticPr fontId="3" type="noConversion"/>
  </si>
  <si>
    <t>10%液体PAC</t>
    <phoneticPr fontId="3" type="noConversion"/>
  </si>
  <si>
    <t>2.18</t>
  </si>
  <si>
    <t>10%液体次氯酸钠</t>
    <phoneticPr fontId="3" type="noConversion"/>
  </si>
  <si>
    <t>99%消泡剂</t>
    <phoneticPr fontId="3" type="noConversion"/>
  </si>
  <si>
    <t>98%葡萄糖碳源(COD≥80万mg/l)</t>
    <phoneticPr fontId="3" type="noConversion"/>
  </si>
  <si>
    <t>2.19</t>
  </si>
  <si>
    <t>2.20</t>
  </si>
  <si>
    <t>2.21</t>
  </si>
  <si>
    <t>28%固体PAC（配药浓度10%）</t>
    <phoneticPr fontId="3" type="noConversion"/>
  </si>
  <si>
    <t>22%固体PFS（配药浓度10%）</t>
    <phoneticPr fontId="3" type="noConversion"/>
  </si>
  <si>
    <t>相当于180ppm</t>
    <phoneticPr fontId="3" type="noConversion"/>
  </si>
  <si>
    <t>60%固体次氯酸钠(配药浓度10%)</t>
    <phoneticPr fontId="3" type="noConversion"/>
  </si>
  <si>
    <t>相当于50ppm</t>
    <phoneticPr fontId="3" type="noConversion"/>
  </si>
  <si>
    <t>根据去除总氮计算投加量</t>
    <phoneticPr fontId="3" type="noConversion"/>
  </si>
  <si>
    <t>98%固体硫酸亚铁（配药浓度10%）</t>
    <phoneticPr fontId="3" type="noConversion"/>
  </si>
  <si>
    <t>30%洗膜碱</t>
    <phoneticPr fontId="3" type="noConversion"/>
  </si>
  <si>
    <t>按原水500mg/l的COD无氮考虑</t>
    <phoneticPr fontId="3" type="noConversion"/>
  </si>
  <si>
    <t>按原水500mg/l的COD无磷考虑</t>
    <phoneticPr fontId="3" type="noConversion"/>
  </si>
  <si>
    <t>PH:8至3</t>
    <phoneticPr fontId="3" type="noConversion"/>
  </si>
  <si>
    <t>PH:3至7</t>
    <phoneticPr fontId="3" type="noConversion"/>
  </si>
  <si>
    <r>
      <t>H</t>
    </r>
    <r>
      <rPr>
        <vertAlign val="subscript"/>
        <sz val="10.5"/>
        <rFont val="宋体"/>
        <family val="3"/>
        <charset val="134"/>
      </rPr>
      <t>2</t>
    </r>
    <r>
      <rPr>
        <sz val="10.5"/>
        <rFont val="宋体"/>
        <family val="3"/>
        <charset val="134"/>
      </rPr>
      <t>O</t>
    </r>
    <r>
      <rPr>
        <vertAlign val="subscript"/>
        <sz val="10.5"/>
        <rFont val="宋体"/>
        <family val="3"/>
        <charset val="134"/>
      </rPr>
      <t>2</t>
    </r>
    <r>
      <rPr>
        <sz val="10.5"/>
        <rFont val="宋体"/>
        <family val="3"/>
        <charset val="134"/>
      </rPr>
      <t>:FeSO</t>
    </r>
    <r>
      <rPr>
        <vertAlign val="subscript"/>
        <sz val="10.5"/>
        <rFont val="宋体"/>
        <family val="3"/>
        <charset val="134"/>
      </rPr>
      <t>4</t>
    </r>
    <r>
      <rPr>
        <sz val="10.5"/>
        <rFont val="宋体"/>
        <family val="3"/>
        <charset val="134"/>
      </rPr>
      <t>摩尔比10:1</t>
    </r>
    <phoneticPr fontId="3" type="noConversion"/>
  </si>
  <si>
    <r>
      <t>27.5%H</t>
    </r>
    <r>
      <rPr>
        <vertAlign val="subscript"/>
        <sz val="10.5"/>
        <rFont val="宋体"/>
        <family val="3"/>
        <charset val="134"/>
      </rPr>
      <t>2</t>
    </r>
    <r>
      <rPr>
        <sz val="10.5"/>
        <rFont val="宋体"/>
        <family val="3"/>
        <charset val="134"/>
      </rPr>
      <t>O</t>
    </r>
    <r>
      <rPr>
        <vertAlign val="subscript"/>
        <sz val="10.5"/>
        <rFont val="宋体"/>
        <family val="3"/>
        <charset val="134"/>
      </rPr>
      <t>2</t>
    </r>
    <phoneticPr fontId="3" type="noConversion"/>
  </si>
  <si>
    <r>
      <t>COD:H</t>
    </r>
    <r>
      <rPr>
        <vertAlign val="subscript"/>
        <sz val="10.5"/>
        <rFont val="宋体"/>
        <family val="3"/>
        <charset val="134"/>
      </rPr>
      <t>2</t>
    </r>
    <r>
      <rPr>
        <sz val="10.5"/>
        <rFont val="宋体"/>
        <family val="3"/>
        <charset val="134"/>
      </rPr>
      <t>O</t>
    </r>
    <r>
      <rPr>
        <vertAlign val="subscript"/>
        <sz val="10.5"/>
        <rFont val="宋体"/>
        <family val="3"/>
        <charset val="134"/>
      </rPr>
      <t>2</t>
    </r>
    <r>
      <rPr>
        <sz val="10.5"/>
        <rFont val="宋体"/>
        <family val="3"/>
        <charset val="134"/>
      </rPr>
      <t>摩尔比1:1</t>
    </r>
    <phoneticPr fontId="3" type="noConversion"/>
  </si>
  <si>
    <t>污泥脱水</t>
    <phoneticPr fontId="3" type="noConversion"/>
  </si>
  <si>
    <t>絮凝反应</t>
    <phoneticPr fontId="3" type="noConversion"/>
  </si>
  <si>
    <t>浙江国清环保科技有限公司发布，版本号V1.0
更多免费工具见：https://www.gqhbkj.com/</t>
    <phoneticPr fontId="3" type="noConversion"/>
  </si>
  <si>
    <r>
      <t xml:space="preserve">水处理运行费用计算书
</t>
    </r>
    <r>
      <rPr>
        <sz val="12"/>
        <color theme="1"/>
        <rFont val="宋体"/>
        <family val="3"/>
        <charset val="134"/>
      </rPr>
      <t>（红色为手动输入，黑色为自动生成）</t>
    </r>
    <phoneticPr fontId="3" type="noConversion"/>
  </si>
  <si>
    <t>七、总运行费用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</si>
</sst>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0_ "/>
    <numFmt numFmtId="178" formatCode="0.000_);[Red]\(0.000\)"/>
    <numFmt numFmtId="179" formatCode="0_);[Red]\(0\)"/>
    <numFmt numFmtId="180" formatCode="0_ "/>
  </numFmts>
  <fonts count="15" x14ac:knownFonts="1">
    <font>
      <sz val="11"/>
      <color theme="1"/>
      <name val="等线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vertAlign val="superscript"/>
      <sz val="10.5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0.5"/>
      <name val="宋体"/>
      <family val="3"/>
      <charset val="134"/>
    </font>
    <font>
      <sz val="10.5"/>
      <color rgb="FFFF0000"/>
      <name val="宋体"/>
      <family val="3"/>
      <charset val="134"/>
    </font>
    <font>
      <sz val="10.5"/>
      <name val="宋体"/>
      <family val="3"/>
      <charset val="134"/>
    </font>
    <font>
      <vertAlign val="subscript"/>
      <sz val="10.5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0.5"/>
      <color rgb="FFFF0000"/>
      <name val="宋体"/>
      <family val="3"/>
      <charset val="134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 applyProtection="1">
      <alignment vertical="center" wrapText="1"/>
      <protection locked="0"/>
    </xf>
    <xf numFmtId="177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77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77" fontId="10" fillId="0" borderId="1" xfId="0" applyNumberFormat="1" applyFont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17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7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79" fontId="10" fillId="0" borderId="1" xfId="0" applyNumberFormat="1" applyFont="1" applyBorder="1" applyAlignment="1" applyProtection="1">
      <alignment horizontal="center" vertical="center" wrapText="1"/>
      <protection locked="0"/>
    </xf>
    <xf numFmtId="180" fontId="2" fillId="0" borderId="1" xfId="0" applyNumberFormat="1" applyFont="1" applyBorder="1" applyAlignment="1" applyProtection="1">
      <alignment horizontal="center" vertical="center" wrapText="1"/>
      <protection locked="0"/>
    </xf>
    <xf numFmtId="178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177" fontId="13" fillId="0" borderId="1" xfId="0" applyNumberFormat="1" applyFont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79" fontId="9" fillId="0" borderId="1" xfId="0" applyNumberFormat="1" applyFont="1" applyBorder="1" applyAlignment="1" applyProtection="1">
      <alignment horizontal="center" vertical="center" wrapText="1"/>
      <protection locked="0"/>
    </xf>
    <xf numFmtId="17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77" fontId="8" fillId="0" borderId="2" xfId="0" applyNumberFormat="1" applyFont="1" applyBorder="1" applyAlignment="1" applyProtection="1">
      <alignment horizontal="center" vertical="center" wrapText="1"/>
      <protection locked="0"/>
    </xf>
    <xf numFmtId="177" fontId="8" fillId="0" borderId="3" xfId="0" applyNumberFormat="1" applyFont="1" applyBorder="1" applyAlignment="1" applyProtection="1">
      <alignment horizontal="center" vertical="center" wrapText="1"/>
      <protection locked="0"/>
    </xf>
    <xf numFmtId="177" fontId="8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FE91-1079-4AA5-B1C5-4B00ED7E292C}">
  <dimension ref="A1:L47"/>
  <sheetViews>
    <sheetView tabSelected="1" zoomScaleNormal="100" workbookViewId="0">
      <selection activeCell="R5" sqref="R5"/>
    </sheetView>
  </sheetViews>
  <sheetFormatPr defaultRowHeight="32" customHeight="1" x14ac:dyDescent="0.3"/>
  <cols>
    <col min="1" max="1" width="6.33203125" style="1" customWidth="1"/>
    <col min="2" max="2" width="16" style="25" customWidth="1"/>
    <col min="3" max="3" width="10.83203125" style="2" customWidth="1"/>
    <col min="4" max="4" width="7.6640625" style="1" customWidth="1"/>
    <col min="5" max="5" width="12.1640625" style="26" customWidth="1"/>
    <col min="6" max="6" width="8.58203125" style="1" customWidth="1"/>
    <col min="7" max="7" width="11.83203125" style="27" customWidth="1"/>
    <col min="8" max="8" width="11.33203125" style="3" customWidth="1"/>
    <col min="9" max="9" width="5.25" style="1" customWidth="1"/>
    <col min="10" max="10" width="10.1640625" style="2" customWidth="1"/>
    <col min="11" max="12" width="10.1640625" style="3" customWidth="1"/>
    <col min="13" max="16384" width="8.6640625" style="1"/>
  </cols>
  <sheetData>
    <row r="1" spans="1:12" ht="50" customHeight="1" x14ac:dyDescent="0.3">
      <c r="A1" s="34" t="s">
        <v>87</v>
      </c>
      <c r="B1" s="34"/>
      <c r="C1" s="34"/>
      <c r="D1" s="34"/>
      <c r="E1" s="34"/>
      <c r="F1" s="34"/>
      <c r="G1" s="34"/>
      <c r="H1" s="34"/>
    </row>
    <row r="2" spans="1:12" ht="50" customHeight="1" x14ac:dyDescent="0.3">
      <c r="A2" s="44" t="s">
        <v>88</v>
      </c>
      <c r="B2" s="44"/>
      <c r="C2" s="44"/>
      <c r="D2" s="44"/>
      <c r="E2" s="44"/>
      <c r="F2" s="44"/>
      <c r="G2" s="44"/>
      <c r="H2" s="44"/>
    </row>
    <row r="3" spans="1:12" ht="32" customHeight="1" x14ac:dyDescent="0.3">
      <c r="A3" s="42" t="s">
        <v>21</v>
      </c>
      <c r="B3" s="43"/>
      <c r="C3" s="28">
        <v>1200</v>
      </c>
      <c r="D3" s="4" t="s">
        <v>20</v>
      </c>
      <c r="E3" s="5"/>
      <c r="F3" s="6"/>
      <c r="G3" s="4"/>
      <c r="H3" s="4"/>
    </row>
    <row r="4" spans="1:12" s="3" customFormat="1" ht="32" customHeight="1" x14ac:dyDescent="0.3">
      <c r="A4" s="7" t="s">
        <v>0</v>
      </c>
      <c r="B4" s="7" t="s">
        <v>24</v>
      </c>
      <c r="C4" s="8" t="s">
        <v>1</v>
      </c>
      <c r="D4" s="7" t="s">
        <v>9</v>
      </c>
      <c r="E4" s="9" t="s">
        <v>10</v>
      </c>
      <c r="F4" s="7" t="s">
        <v>9</v>
      </c>
      <c r="G4" s="9" t="s">
        <v>22</v>
      </c>
      <c r="H4" s="7" t="s">
        <v>11</v>
      </c>
      <c r="J4" s="2"/>
    </row>
    <row r="5" spans="1:12" ht="32" customHeight="1" x14ac:dyDescent="0.3">
      <c r="A5" s="35" t="s">
        <v>23</v>
      </c>
      <c r="B5" s="36"/>
      <c r="C5" s="36"/>
      <c r="D5" s="36"/>
      <c r="E5" s="36"/>
      <c r="F5" s="36"/>
      <c r="G5" s="36"/>
      <c r="H5" s="37"/>
    </row>
    <row r="6" spans="1:12" ht="32" customHeight="1" x14ac:dyDescent="0.3">
      <c r="A6" s="10">
        <v>1.1000000000000001</v>
      </c>
      <c r="B6" s="11" t="s">
        <v>15</v>
      </c>
      <c r="C6" s="29">
        <v>0.7</v>
      </c>
      <c r="D6" s="10" t="s">
        <v>12</v>
      </c>
      <c r="E6" s="30">
        <v>2800</v>
      </c>
      <c r="F6" s="10" t="s">
        <v>13</v>
      </c>
      <c r="G6" s="13">
        <f>C6*E6*H6/C3</f>
        <v>1.3883333333333332</v>
      </c>
      <c r="H6" s="31">
        <v>0.85</v>
      </c>
    </row>
    <row r="7" spans="1:12" ht="32" customHeight="1" x14ac:dyDescent="0.3">
      <c r="A7" s="10">
        <v>1.2</v>
      </c>
      <c r="B7" s="11" t="s">
        <v>14</v>
      </c>
      <c r="C7" s="29">
        <v>4</v>
      </c>
      <c r="D7" s="10" t="s">
        <v>16</v>
      </c>
      <c r="E7" s="30">
        <v>8</v>
      </c>
      <c r="F7" s="10" t="s">
        <v>19</v>
      </c>
      <c r="G7" s="13">
        <f>C7*E7/C3</f>
        <v>2.6666666666666668E-2</v>
      </c>
      <c r="H7" s="10"/>
    </row>
    <row r="8" spans="1:12" ht="32" customHeight="1" x14ac:dyDescent="0.3">
      <c r="A8" s="14"/>
      <c r="B8" s="10" t="s">
        <v>2</v>
      </c>
      <c r="C8" s="12"/>
      <c r="D8" s="10"/>
      <c r="E8" s="15"/>
      <c r="F8" s="16"/>
      <c r="G8" s="13">
        <f>SUM(G6:G7)</f>
        <v>1.4149999999999998</v>
      </c>
      <c r="H8" s="10"/>
    </row>
    <row r="9" spans="1:12" ht="32" customHeight="1" x14ac:dyDescent="0.3">
      <c r="A9" s="35" t="s">
        <v>41</v>
      </c>
      <c r="B9" s="36"/>
      <c r="C9" s="36"/>
      <c r="D9" s="36"/>
      <c r="E9" s="36"/>
      <c r="F9" s="36"/>
      <c r="G9" s="36"/>
      <c r="H9" s="37"/>
      <c r="J9" s="17" t="s">
        <v>57</v>
      </c>
      <c r="K9" s="18" t="s">
        <v>58</v>
      </c>
      <c r="L9" s="18" t="s">
        <v>59</v>
      </c>
    </row>
    <row r="10" spans="1:12" ht="32" customHeight="1" x14ac:dyDescent="0.3">
      <c r="A10" s="10">
        <v>2.1</v>
      </c>
      <c r="B10" s="11" t="s">
        <v>62</v>
      </c>
      <c r="C10" s="32">
        <v>700</v>
      </c>
      <c r="D10" s="10" t="s">
        <v>16</v>
      </c>
      <c r="E10" s="30">
        <v>1800</v>
      </c>
      <c r="F10" s="10" t="s">
        <v>25</v>
      </c>
      <c r="G10" s="13">
        <f t="shared" ref="G10:G30" si="0">E10*C10/1000000</f>
        <v>1.26</v>
      </c>
      <c r="H10" s="10" t="s">
        <v>72</v>
      </c>
      <c r="J10" s="6">
        <f>E10*$C$3/1000/24</f>
        <v>90</v>
      </c>
      <c r="K10" s="31">
        <v>7</v>
      </c>
      <c r="L10" s="20">
        <f t="shared" ref="L10:L30" si="1">24*K10*J10</f>
        <v>15120</v>
      </c>
    </row>
    <row r="11" spans="1:12" ht="32" customHeight="1" x14ac:dyDescent="0.3">
      <c r="A11" s="10">
        <v>2.2000000000000002</v>
      </c>
      <c r="B11" s="11" t="s">
        <v>70</v>
      </c>
      <c r="C11" s="32">
        <v>280</v>
      </c>
      <c r="D11" s="10" t="s">
        <v>16</v>
      </c>
      <c r="E11" s="13">
        <f>10*E10/2.8</f>
        <v>6428.5714285714294</v>
      </c>
      <c r="F11" s="10" t="s">
        <v>25</v>
      </c>
      <c r="G11" s="13">
        <f t="shared" si="0"/>
        <v>1.8000000000000003</v>
      </c>
      <c r="H11" s="10" t="s">
        <v>72</v>
      </c>
      <c r="J11" s="6">
        <f t="shared" ref="J11" si="2">E11*$C$3/1000/24</f>
        <v>321.4285714285715</v>
      </c>
      <c r="K11" s="31">
        <v>3</v>
      </c>
      <c r="L11" s="20">
        <f t="shared" ref="L11" si="3">24*K11*J11</f>
        <v>23142.857142857149</v>
      </c>
    </row>
    <row r="12" spans="1:12" ht="32" customHeight="1" x14ac:dyDescent="0.3">
      <c r="A12" s="10">
        <v>2.2999999999999998</v>
      </c>
      <c r="B12" s="11" t="s">
        <v>71</v>
      </c>
      <c r="C12" s="32">
        <v>250</v>
      </c>
      <c r="D12" s="10" t="s">
        <v>16</v>
      </c>
      <c r="E12" s="13">
        <f>10*E10/2.2</f>
        <v>8181.8181818181811</v>
      </c>
      <c r="F12" s="10" t="s">
        <v>25</v>
      </c>
      <c r="G12" s="13">
        <f t="shared" si="0"/>
        <v>2.045454545454545</v>
      </c>
      <c r="H12" s="10" t="s">
        <v>72</v>
      </c>
      <c r="J12" s="6">
        <f t="shared" ref="J12:J30" si="4">E12*$C$3/1000/24</f>
        <v>409.09090909090901</v>
      </c>
      <c r="K12" s="31">
        <v>3</v>
      </c>
      <c r="L12" s="20">
        <f t="shared" ref="L12" si="5">24*K12*J12</f>
        <v>29454.545454545449</v>
      </c>
    </row>
    <row r="13" spans="1:12" ht="32" customHeight="1" x14ac:dyDescent="0.3">
      <c r="A13" s="10">
        <v>2.4</v>
      </c>
      <c r="B13" s="11" t="s">
        <v>61</v>
      </c>
      <c r="C13" s="32">
        <v>22</v>
      </c>
      <c r="D13" s="10" t="s">
        <v>16</v>
      </c>
      <c r="E13" s="30">
        <v>2000</v>
      </c>
      <c r="F13" s="10" t="s">
        <v>25</v>
      </c>
      <c r="G13" s="13">
        <f t="shared" si="0"/>
        <v>4.3999999999999997E-2</v>
      </c>
      <c r="H13" s="10" t="s">
        <v>86</v>
      </c>
      <c r="J13" s="6">
        <f t="shared" si="4"/>
        <v>100</v>
      </c>
      <c r="K13" s="31">
        <v>1</v>
      </c>
      <c r="L13" s="20">
        <f t="shared" si="1"/>
        <v>2400</v>
      </c>
    </row>
    <row r="14" spans="1:12" ht="32" customHeight="1" x14ac:dyDescent="0.3">
      <c r="A14" s="10">
        <v>2.5</v>
      </c>
      <c r="B14" s="11" t="s">
        <v>60</v>
      </c>
      <c r="C14" s="32">
        <v>28</v>
      </c>
      <c r="D14" s="10" t="s">
        <v>16</v>
      </c>
      <c r="E14" s="13">
        <f>5*E13*1/100</f>
        <v>100</v>
      </c>
      <c r="F14" s="10" t="s">
        <v>25</v>
      </c>
      <c r="G14" s="21">
        <f t="shared" si="0"/>
        <v>2.8E-3</v>
      </c>
      <c r="H14" s="10" t="s">
        <v>85</v>
      </c>
      <c r="J14" s="6">
        <f t="shared" si="4"/>
        <v>5</v>
      </c>
      <c r="K14" s="31">
        <v>1</v>
      </c>
      <c r="L14" s="20">
        <f t="shared" si="1"/>
        <v>120</v>
      </c>
    </row>
    <row r="15" spans="1:12" ht="32" customHeight="1" x14ac:dyDescent="0.3">
      <c r="A15" s="10">
        <v>2.6</v>
      </c>
      <c r="B15" s="11" t="s">
        <v>73</v>
      </c>
      <c r="C15" s="32">
        <v>2000</v>
      </c>
      <c r="D15" s="10" t="s">
        <v>16</v>
      </c>
      <c r="E15" s="13">
        <f>50*10/0.6</f>
        <v>833.33333333333337</v>
      </c>
      <c r="F15" s="10" t="s">
        <v>25</v>
      </c>
      <c r="G15" s="13">
        <f t="shared" si="0"/>
        <v>1.6666666666666667</v>
      </c>
      <c r="H15" s="10" t="s">
        <v>74</v>
      </c>
      <c r="J15" s="6">
        <f t="shared" si="4"/>
        <v>41.666666666666664</v>
      </c>
      <c r="K15" s="31">
        <v>7</v>
      </c>
      <c r="L15" s="20">
        <f t="shared" si="1"/>
        <v>7000</v>
      </c>
    </row>
    <row r="16" spans="1:12" ht="32" customHeight="1" x14ac:dyDescent="0.3">
      <c r="A16" s="10">
        <v>2.7</v>
      </c>
      <c r="B16" s="11" t="s">
        <v>64</v>
      </c>
      <c r="C16" s="32">
        <v>2000</v>
      </c>
      <c r="D16" s="10" t="s">
        <v>16</v>
      </c>
      <c r="E16" s="13">
        <f>50/0.1</f>
        <v>500</v>
      </c>
      <c r="F16" s="10" t="s">
        <v>25</v>
      </c>
      <c r="G16" s="13">
        <f t="shared" si="0"/>
        <v>1</v>
      </c>
      <c r="H16" s="10" t="s">
        <v>74</v>
      </c>
      <c r="J16" s="6">
        <f t="shared" ref="J16" si="6">E16*$C$3/1000/24</f>
        <v>25</v>
      </c>
      <c r="K16" s="31">
        <v>7</v>
      </c>
      <c r="L16" s="20">
        <f t="shared" ref="L16" si="7">24*K16*J16</f>
        <v>4200</v>
      </c>
    </row>
    <row r="17" spans="1:12" ht="32" customHeight="1" x14ac:dyDescent="0.3">
      <c r="A17" s="10">
        <v>2.8</v>
      </c>
      <c r="B17" s="11" t="s">
        <v>17</v>
      </c>
      <c r="C17" s="32">
        <v>265</v>
      </c>
      <c r="D17" s="10" t="s">
        <v>16</v>
      </c>
      <c r="E17" s="30">
        <v>500</v>
      </c>
      <c r="F17" s="10" t="s">
        <v>25</v>
      </c>
      <c r="G17" s="13">
        <f>E17*C17/1000000</f>
        <v>0.13250000000000001</v>
      </c>
      <c r="H17" s="10" t="s">
        <v>80</v>
      </c>
      <c r="J17" s="6">
        <f>E17*$C$3/1000/24</f>
        <v>25</v>
      </c>
      <c r="K17" s="31">
        <v>7</v>
      </c>
      <c r="L17" s="20">
        <f>24*K17*J17</f>
        <v>4200</v>
      </c>
    </row>
    <row r="18" spans="1:12" ht="32" customHeight="1" x14ac:dyDescent="0.3">
      <c r="A18" s="10">
        <v>2.9</v>
      </c>
      <c r="B18" s="11" t="s">
        <v>18</v>
      </c>
      <c r="C18" s="33">
        <f>1.2*C19*10/33</f>
        <v>218.18181818181819</v>
      </c>
      <c r="D18" s="10" t="s">
        <v>16</v>
      </c>
      <c r="E18" s="13">
        <f>E19*33/10</f>
        <v>1320</v>
      </c>
      <c r="F18" s="10" t="s">
        <v>25</v>
      </c>
      <c r="G18" s="13">
        <f>E18*C18/1000000</f>
        <v>0.28799999999999998</v>
      </c>
      <c r="H18" s="10" t="s">
        <v>81</v>
      </c>
      <c r="J18" s="6">
        <f>E18*$C$3/1000/24</f>
        <v>66</v>
      </c>
      <c r="K18" s="31">
        <v>7</v>
      </c>
      <c r="L18" s="20">
        <f>24*K18*J18</f>
        <v>11088</v>
      </c>
    </row>
    <row r="19" spans="1:12" ht="32" customHeight="1" x14ac:dyDescent="0.3">
      <c r="A19" s="22" t="s">
        <v>27</v>
      </c>
      <c r="B19" s="11" t="s">
        <v>26</v>
      </c>
      <c r="C19" s="32">
        <v>600</v>
      </c>
      <c r="D19" s="10" t="s">
        <v>16</v>
      </c>
      <c r="E19" s="13">
        <f>E17*0.8</f>
        <v>400</v>
      </c>
      <c r="F19" s="10" t="s">
        <v>25</v>
      </c>
      <c r="G19" s="13">
        <f>E19*C19/1000000</f>
        <v>0.24</v>
      </c>
      <c r="H19" s="10" t="s">
        <v>81</v>
      </c>
      <c r="J19" s="6">
        <f>E19*$C$3/1000/24</f>
        <v>20</v>
      </c>
      <c r="K19" s="31">
        <v>7</v>
      </c>
      <c r="L19" s="20">
        <f>24*K19*J19</f>
        <v>3360</v>
      </c>
    </row>
    <row r="20" spans="1:12" ht="32" customHeight="1" x14ac:dyDescent="0.3">
      <c r="A20" s="22" t="s">
        <v>30</v>
      </c>
      <c r="B20" s="14" t="s">
        <v>76</v>
      </c>
      <c r="C20" s="32">
        <v>180</v>
      </c>
      <c r="D20" s="10" t="s">
        <v>16</v>
      </c>
      <c r="E20" s="13">
        <f>210/0.1</f>
        <v>2100</v>
      </c>
      <c r="F20" s="10" t="s">
        <v>25</v>
      </c>
      <c r="G20" s="13">
        <f>E20*C20/1000000</f>
        <v>0.378</v>
      </c>
      <c r="H20" s="10" t="s">
        <v>82</v>
      </c>
      <c r="J20" s="6">
        <f>E20*$C$3/1000/24</f>
        <v>105</v>
      </c>
      <c r="K20" s="31">
        <v>5</v>
      </c>
      <c r="L20" s="20">
        <f>24*K20*J20</f>
        <v>12600</v>
      </c>
    </row>
    <row r="21" spans="1:12" ht="32" customHeight="1" x14ac:dyDescent="0.3">
      <c r="A21" s="22" t="s">
        <v>28</v>
      </c>
      <c r="B21" s="11" t="s">
        <v>83</v>
      </c>
      <c r="C21" s="32">
        <v>3500</v>
      </c>
      <c r="D21" s="10" t="s">
        <v>16</v>
      </c>
      <c r="E21" s="13">
        <f>390/0.275</f>
        <v>1418.181818181818</v>
      </c>
      <c r="F21" s="10" t="s">
        <v>25</v>
      </c>
      <c r="G21" s="13">
        <f t="shared" si="0"/>
        <v>4.963636363636363</v>
      </c>
      <c r="H21" s="10" t="s">
        <v>84</v>
      </c>
      <c r="J21" s="6">
        <f t="shared" si="4"/>
        <v>70.909090909090907</v>
      </c>
      <c r="K21" s="31">
        <v>7</v>
      </c>
      <c r="L21" s="20">
        <f t="shared" si="1"/>
        <v>11912.727272727272</v>
      </c>
    </row>
    <row r="22" spans="1:12" ht="32" customHeight="1" x14ac:dyDescent="0.3">
      <c r="A22" s="22" t="s">
        <v>29</v>
      </c>
      <c r="B22" s="11" t="s">
        <v>66</v>
      </c>
      <c r="C22" s="32">
        <v>3000</v>
      </c>
      <c r="D22" s="10" t="s">
        <v>16</v>
      </c>
      <c r="E22" s="30">
        <v>100</v>
      </c>
      <c r="F22" s="10" t="s">
        <v>25</v>
      </c>
      <c r="G22" s="13">
        <f>E22*C22/1000000</f>
        <v>0.3</v>
      </c>
      <c r="H22" s="10" t="s">
        <v>75</v>
      </c>
      <c r="J22" s="6">
        <f t="shared" ref="J22:J23" si="8">E22*$C$3/1000/24</f>
        <v>5</v>
      </c>
      <c r="K22" s="31">
        <v>15</v>
      </c>
      <c r="L22" s="20">
        <f t="shared" ref="L22:L23" si="9">24*K22*J22</f>
        <v>1800</v>
      </c>
    </row>
    <row r="23" spans="1:12" ht="32" customHeight="1" x14ac:dyDescent="0.3">
      <c r="A23" s="22" t="s">
        <v>31</v>
      </c>
      <c r="B23" s="11" t="s">
        <v>65</v>
      </c>
      <c r="C23" s="32">
        <v>2800</v>
      </c>
      <c r="D23" s="10" t="s">
        <v>16</v>
      </c>
      <c r="E23" s="30">
        <v>8</v>
      </c>
      <c r="F23" s="10" t="s">
        <v>25</v>
      </c>
      <c r="G23" s="13">
        <f>E23*C23/1000000</f>
        <v>2.24E-2</v>
      </c>
      <c r="H23" s="10"/>
      <c r="J23" s="6">
        <f t="shared" si="8"/>
        <v>0.39999999999999997</v>
      </c>
      <c r="K23" s="31">
        <v>15</v>
      </c>
      <c r="L23" s="20">
        <f t="shared" si="9"/>
        <v>144</v>
      </c>
    </row>
    <row r="24" spans="1:12" ht="42.5" customHeight="1" x14ac:dyDescent="0.3">
      <c r="A24" s="22" t="s">
        <v>32</v>
      </c>
      <c r="B24" s="11" t="s">
        <v>34</v>
      </c>
      <c r="C24" s="32">
        <v>300</v>
      </c>
      <c r="D24" s="10" t="s">
        <v>16</v>
      </c>
      <c r="E24" s="13">
        <f>500*5*10/0.46/100</f>
        <v>543.47826086956525</v>
      </c>
      <c r="F24" s="10" t="s">
        <v>25</v>
      </c>
      <c r="G24" s="13">
        <f t="shared" si="0"/>
        <v>0.16304347826086957</v>
      </c>
      <c r="H24" s="10" t="s">
        <v>78</v>
      </c>
      <c r="J24" s="6">
        <f t="shared" si="4"/>
        <v>27.173913043478262</v>
      </c>
      <c r="K24" s="31">
        <v>7</v>
      </c>
      <c r="L24" s="20">
        <f t="shared" si="1"/>
        <v>4565.217391304348</v>
      </c>
    </row>
    <row r="25" spans="1:12" ht="42.5" customHeight="1" x14ac:dyDescent="0.3">
      <c r="A25" s="22" t="s">
        <v>33</v>
      </c>
      <c r="B25" s="11" t="s">
        <v>35</v>
      </c>
      <c r="C25" s="32">
        <v>300</v>
      </c>
      <c r="D25" s="10" t="s">
        <v>16</v>
      </c>
      <c r="E25" s="13">
        <f>500*1*10/0.99/100</f>
        <v>50.505050505050505</v>
      </c>
      <c r="F25" s="10" t="s">
        <v>25</v>
      </c>
      <c r="G25" s="13">
        <f t="shared" si="0"/>
        <v>1.5151515151515152E-2</v>
      </c>
      <c r="H25" s="10" t="s">
        <v>79</v>
      </c>
      <c r="J25" s="6">
        <f t="shared" si="4"/>
        <v>2.5252525252525255</v>
      </c>
      <c r="K25" s="31">
        <v>7</v>
      </c>
      <c r="L25" s="20">
        <f t="shared" si="1"/>
        <v>424.24242424242431</v>
      </c>
    </row>
    <row r="26" spans="1:12" ht="32" customHeight="1" x14ac:dyDescent="0.3">
      <c r="A26" s="22" t="s">
        <v>40</v>
      </c>
      <c r="B26" s="11" t="s">
        <v>36</v>
      </c>
      <c r="C26" s="32">
        <v>1800</v>
      </c>
      <c r="D26" s="10" t="s">
        <v>16</v>
      </c>
      <c r="E26" s="30">
        <v>80</v>
      </c>
      <c r="F26" s="10" t="s">
        <v>25</v>
      </c>
      <c r="G26" s="13">
        <f t="shared" si="0"/>
        <v>0.14399999999999999</v>
      </c>
      <c r="H26" s="22"/>
      <c r="J26" s="6">
        <f t="shared" si="4"/>
        <v>4</v>
      </c>
      <c r="K26" s="31">
        <v>10</v>
      </c>
      <c r="L26" s="20">
        <f t="shared" si="1"/>
        <v>960</v>
      </c>
    </row>
    <row r="27" spans="1:12" ht="32" customHeight="1" x14ac:dyDescent="0.3">
      <c r="A27" s="22" t="s">
        <v>63</v>
      </c>
      <c r="B27" s="11" t="s">
        <v>37</v>
      </c>
      <c r="C27" s="32">
        <v>1600</v>
      </c>
      <c r="D27" s="10" t="s">
        <v>16</v>
      </c>
      <c r="E27" s="30">
        <v>35</v>
      </c>
      <c r="F27" s="10" t="s">
        <v>25</v>
      </c>
      <c r="G27" s="13">
        <f t="shared" si="0"/>
        <v>5.6000000000000001E-2</v>
      </c>
      <c r="H27" s="22"/>
      <c r="J27" s="6">
        <f t="shared" si="4"/>
        <v>1.75</v>
      </c>
      <c r="K27" s="31">
        <v>20</v>
      </c>
      <c r="L27" s="20">
        <f t="shared" si="1"/>
        <v>840</v>
      </c>
    </row>
    <row r="28" spans="1:12" ht="32" customHeight="1" x14ac:dyDescent="0.3">
      <c r="A28" s="22" t="s">
        <v>67</v>
      </c>
      <c r="B28" s="11" t="s">
        <v>38</v>
      </c>
      <c r="C28" s="32">
        <v>800</v>
      </c>
      <c r="D28" s="10" t="s">
        <v>16</v>
      </c>
      <c r="E28" s="13">
        <f>E27</f>
        <v>35</v>
      </c>
      <c r="F28" s="10" t="s">
        <v>25</v>
      </c>
      <c r="G28" s="13">
        <f t="shared" si="0"/>
        <v>2.8000000000000001E-2</v>
      </c>
      <c r="H28" s="22"/>
      <c r="J28" s="6">
        <f>E28*$C$3/1000/24</f>
        <v>1.75</v>
      </c>
      <c r="K28" s="31">
        <v>20</v>
      </c>
      <c r="L28" s="20">
        <f t="shared" si="1"/>
        <v>840</v>
      </c>
    </row>
    <row r="29" spans="1:12" ht="32" customHeight="1" x14ac:dyDescent="0.3">
      <c r="A29" s="22" t="s">
        <v>68</v>
      </c>
      <c r="B29" s="11" t="s">
        <v>39</v>
      </c>
      <c r="C29" s="32">
        <v>8500</v>
      </c>
      <c r="D29" s="10" t="s">
        <v>16</v>
      </c>
      <c r="E29" s="13">
        <f>5*5/7</f>
        <v>3.5714285714285716</v>
      </c>
      <c r="F29" s="10" t="s">
        <v>25</v>
      </c>
      <c r="G29" s="13">
        <f t="shared" si="0"/>
        <v>3.035714285714286E-2</v>
      </c>
      <c r="H29" s="10"/>
      <c r="J29" s="6">
        <f t="shared" si="4"/>
        <v>0.1785714285714286</v>
      </c>
      <c r="K29" s="31">
        <v>20</v>
      </c>
      <c r="L29" s="20">
        <f t="shared" si="1"/>
        <v>85.714285714285722</v>
      </c>
    </row>
    <row r="30" spans="1:12" ht="32" customHeight="1" x14ac:dyDescent="0.3">
      <c r="A30" s="22" t="s">
        <v>69</v>
      </c>
      <c r="B30" s="11" t="s">
        <v>77</v>
      </c>
      <c r="C30" s="33">
        <f>C18*10</f>
        <v>2181.818181818182</v>
      </c>
      <c r="D30" s="10" t="s">
        <v>16</v>
      </c>
      <c r="E30" s="13">
        <f>5*0.1/(0.3*7)</f>
        <v>0.23809523809523808</v>
      </c>
      <c r="F30" s="10" t="s">
        <v>25</v>
      </c>
      <c r="G30" s="21">
        <f t="shared" si="0"/>
        <v>5.1948051948051959E-4</v>
      </c>
      <c r="H30" s="10"/>
      <c r="J30" s="6">
        <f t="shared" si="4"/>
        <v>1.1904761904761904E-2</v>
      </c>
      <c r="K30" s="31">
        <v>20</v>
      </c>
      <c r="L30" s="20">
        <f t="shared" si="1"/>
        <v>5.7142857142857135</v>
      </c>
    </row>
    <row r="31" spans="1:12" ht="32" customHeight="1" x14ac:dyDescent="0.3">
      <c r="A31" s="22"/>
      <c r="B31" s="11" t="s">
        <v>3</v>
      </c>
      <c r="C31" s="19"/>
      <c r="D31" s="10"/>
      <c r="E31" s="13"/>
      <c r="F31" s="10"/>
      <c r="G31" s="13">
        <f>SUM(G10:G30)</f>
        <v>14.580529192546583</v>
      </c>
      <c r="H31" s="10"/>
    </row>
    <row r="32" spans="1:12" ht="32" customHeight="1" x14ac:dyDescent="0.3">
      <c r="A32" s="35" t="s">
        <v>42</v>
      </c>
      <c r="B32" s="36"/>
      <c r="C32" s="36"/>
      <c r="D32" s="36"/>
      <c r="E32" s="36"/>
      <c r="F32" s="36"/>
      <c r="G32" s="36"/>
      <c r="H32" s="37"/>
    </row>
    <row r="33" spans="1:8" ht="32" customHeight="1" x14ac:dyDescent="0.3">
      <c r="A33" s="10">
        <v>3.1</v>
      </c>
      <c r="B33" s="11" t="s">
        <v>43</v>
      </c>
      <c r="C33" s="32">
        <v>8000</v>
      </c>
      <c r="D33" s="19" t="s">
        <v>44</v>
      </c>
      <c r="E33" s="32">
        <v>1</v>
      </c>
      <c r="F33" s="10" t="s">
        <v>46</v>
      </c>
      <c r="G33" s="13">
        <f>E33*C33/30/C3</f>
        <v>0.22222222222222224</v>
      </c>
      <c r="H33" s="10"/>
    </row>
    <row r="34" spans="1:8" ht="32" customHeight="1" x14ac:dyDescent="0.3">
      <c r="A34" s="10">
        <v>3.2</v>
      </c>
      <c r="B34" s="11" t="s">
        <v>45</v>
      </c>
      <c r="C34" s="32">
        <v>5000</v>
      </c>
      <c r="D34" s="19" t="s">
        <v>44</v>
      </c>
      <c r="E34" s="32">
        <v>4</v>
      </c>
      <c r="F34" s="10" t="s">
        <v>46</v>
      </c>
      <c r="G34" s="13">
        <f>E34*C34/30/C3</f>
        <v>0.55555555555555547</v>
      </c>
      <c r="H34" s="10"/>
    </row>
    <row r="35" spans="1:8" ht="32" customHeight="1" x14ac:dyDescent="0.3">
      <c r="A35" s="10"/>
      <c r="B35" s="11" t="s">
        <v>3</v>
      </c>
      <c r="C35" s="19"/>
      <c r="D35" s="19"/>
      <c r="E35" s="19"/>
      <c r="F35" s="10"/>
      <c r="G35" s="13">
        <f>SUM(G33:G34)</f>
        <v>0.77777777777777768</v>
      </c>
      <c r="H35" s="10"/>
    </row>
    <row r="36" spans="1:8" ht="32" customHeight="1" x14ac:dyDescent="0.3">
      <c r="A36" s="35" t="s">
        <v>47</v>
      </c>
      <c r="B36" s="36"/>
      <c r="C36" s="36"/>
      <c r="D36" s="36"/>
      <c r="E36" s="36"/>
      <c r="F36" s="36"/>
      <c r="G36" s="36"/>
      <c r="H36" s="37"/>
    </row>
    <row r="37" spans="1:8" ht="32" customHeight="1" x14ac:dyDescent="0.3">
      <c r="A37" s="10">
        <v>4.0999999999999996</v>
      </c>
      <c r="B37" s="11" t="s">
        <v>4</v>
      </c>
      <c r="C37" s="29">
        <v>10</v>
      </c>
      <c r="D37" s="10" t="s">
        <v>48</v>
      </c>
      <c r="E37" s="32">
        <v>1</v>
      </c>
      <c r="F37" s="10" t="s">
        <v>49</v>
      </c>
      <c r="G37" s="13">
        <f>C37*10000/330/C3</f>
        <v>0.25252525252525249</v>
      </c>
      <c r="H37" s="10"/>
    </row>
    <row r="38" spans="1:8" ht="32" customHeight="1" x14ac:dyDescent="0.3">
      <c r="A38" s="10">
        <v>4.2</v>
      </c>
      <c r="B38" s="11" t="s">
        <v>50</v>
      </c>
      <c r="C38" s="29">
        <v>10</v>
      </c>
      <c r="D38" s="10" t="s">
        <v>48</v>
      </c>
      <c r="E38" s="32">
        <v>1</v>
      </c>
      <c r="F38" s="10" t="s">
        <v>49</v>
      </c>
      <c r="G38" s="13">
        <f>C38*10000/330/C3</f>
        <v>0.25252525252525249</v>
      </c>
      <c r="H38" s="10"/>
    </row>
    <row r="39" spans="1:8" ht="32" customHeight="1" x14ac:dyDescent="0.3">
      <c r="A39" s="10"/>
      <c r="B39" s="11" t="s">
        <v>3</v>
      </c>
      <c r="C39" s="12"/>
      <c r="D39" s="10"/>
      <c r="E39" s="13"/>
      <c r="F39" s="10"/>
      <c r="G39" s="13">
        <f>SUM(G37:G38)</f>
        <v>0.50505050505050497</v>
      </c>
      <c r="H39" s="10"/>
    </row>
    <row r="40" spans="1:8" ht="32" customHeight="1" x14ac:dyDescent="0.3">
      <c r="A40" s="35" t="s">
        <v>5</v>
      </c>
      <c r="B40" s="36"/>
      <c r="C40" s="36"/>
      <c r="D40" s="36"/>
      <c r="E40" s="36"/>
      <c r="F40" s="36"/>
      <c r="G40" s="36"/>
      <c r="H40" s="37"/>
    </row>
    <row r="41" spans="1:8" ht="32" customHeight="1" x14ac:dyDescent="0.3">
      <c r="A41" s="10">
        <v>5.0999999999999996</v>
      </c>
      <c r="B41" s="11" t="s">
        <v>6</v>
      </c>
      <c r="C41" s="29">
        <v>400</v>
      </c>
      <c r="D41" s="10" t="s">
        <v>16</v>
      </c>
      <c r="E41" s="13">
        <f>C3*0.007</f>
        <v>8.4</v>
      </c>
      <c r="F41" s="10" t="s">
        <v>51</v>
      </c>
      <c r="G41" s="13">
        <f>E41*C41/C3</f>
        <v>2.8</v>
      </c>
      <c r="H41" s="10"/>
    </row>
    <row r="42" spans="1:8" ht="32" customHeight="1" x14ac:dyDescent="0.3">
      <c r="A42" s="10"/>
      <c r="B42" s="11" t="s">
        <v>3</v>
      </c>
      <c r="C42" s="12"/>
      <c r="D42" s="10"/>
      <c r="E42" s="13"/>
      <c r="F42" s="10"/>
      <c r="G42" s="13">
        <f>G41</f>
        <v>2.8</v>
      </c>
      <c r="H42" s="10"/>
    </row>
    <row r="43" spans="1:8" ht="32" customHeight="1" x14ac:dyDescent="0.3">
      <c r="A43" s="35" t="s">
        <v>8</v>
      </c>
      <c r="B43" s="36"/>
      <c r="C43" s="36"/>
      <c r="D43" s="36"/>
      <c r="E43" s="36"/>
      <c r="F43" s="36"/>
      <c r="G43" s="36"/>
      <c r="H43" s="37"/>
    </row>
    <row r="44" spans="1:8" ht="32" customHeight="1" x14ac:dyDescent="0.3">
      <c r="A44" s="10">
        <v>6.1</v>
      </c>
      <c r="B44" s="11" t="s">
        <v>7</v>
      </c>
      <c r="C44" s="29">
        <v>200</v>
      </c>
      <c r="D44" s="10" t="s">
        <v>52</v>
      </c>
      <c r="E44" s="30">
        <v>5</v>
      </c>
      <c r="F44" s="10" t="s">
        <v>53</v>
      </c>
      <c r="G44" s="13">
        <f>C44*10000/E44/330/C3</f>
        <v>1.0101010101010099</v>
      </c>
      <c r="H44" s="10" t="s">
        <v>54</v>
      </c>
    </row>
    <row r="45" spans="1:8" ht="32" customHeight="1" x14ac:dyDescent="0.3">
      <c r="A45" s="10"/>
      <c r="B45" s="11" t="s">
        <v>3</v>
      </c>
      <c r="C45" s="12"/>
      <c r="D45" s="10"/>
      <c r="E45" s="13"/>
      <c r="F45" s="10"/>
      <c r="G45" s="13">
        <f>G44</f>
        <v>1.0101010101010099</v>
      </c>
      <c r="H45" s="10"/>
    </row>
    <row r="46" spans="1:8" ht="32" customHeight="1" x14ac:dyDescent="0.3">
      <c r="A46" s="38" t="s">
        <v>89</v>
      </c>
      <c r="B46" s="38"/>
      <c r="C46" s="38"/>
      <c r="D46" s="38"/>
      <c r="E46" s="38"/>
      <c r="F46" s="38"/>
      <c r="G46" s="38"/>
      <c r="H46" s="38"/>
    </row>
    <row r="47" spans="1:8" ht="32" customHeight="1" x14ac:dyDescent="0.3">
      <c r="A47" s="14"/>
      <c r="B47" s="23" t="s">
        <v>55</v>
      </c>
      <c r="C47" s="39" t="s">
        <v>56</v>
      </c>
      <c r="D47" s="40"/>
      <c r="E47" s="40"/>
      <c r="F47" s="41"/>
      <c r="G47" s="24">
        <f>G8+G31+G35+G39+G42+G45</f>
        <v>21.088458485475876</v>
      </c>
      <c r="H47" s="10"/>
    </row>
  </sheetData>
  <sheetProtection algorithmName="SHA-512" hashValue="vvjyJyv2BnZLnGd8iiqYzcAaLDNTycDi1MB+oIIC9Jc/kL5n9NVH9I6iErR4DBRrmKzxj5HY1GN/notvyBG11w==" saltValue="9ZVrW1kweA9QfyTiqtgW2Q==" spinCount="100000" sheet="1" insertRows="0" deleteRows="0" selectLockedCells="1"/>
  <mergeCells count="11">
    <mergeCell ref="A1:H1"/>
    <mergeCell ref="A40:H40"/>
    <mergeCell ref="A43:H43"/>
    <mergeCell ref="A46:H46"/>
    <mergeCell ref="C47:F47"/>
    <mergeCell ref="A3:B3"/>
    <mergeCell ref="A2:H2"/>
    <mergeCell ref="A5:H5"/>
    <mergeCell ref="A9:H9"/>
    <mergeCell ref="A32:H32"/>
    <mergeCell ref="A36:H36"/>
  </mergeCells>
  <phoneticPr fontId="3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运行费用计算书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wuhong</dc:creator>
  <cp:lastModifiedBy>洪 吴</cp:lastModifiedBy>
  <cp:lastPrinted>2024-03-10T09:07:21Z</cp:lastPrinted>
  <dcterms:created xsi:type="dcterms:W3CDTF">2021-11-23T13:30:12Z</dcterms:created>
  <dcterms:modified xsi:type="dcterms:W3CDTF">2024-03-11T07:43:16Z</dcterms:modified>
</cp:coreProperties>
</file>